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N:\Purchasing\Copier Contract\Copier Orders\"/>
    </mc:Choice>
  </mc:AlternateContent>
  <xr:revisionPtr revIDLastSave="0" documentId="8_{9B9444BA-0419-49E9-A88F-60EFD51F2C58}" xr6:coauthVersionLast="36" xr6:coauthVersionMax="36" xr10:uidLastSave="{00000000-0000-0000-0000-000000000000}"/>
  <bookViews>
    <workbookView xWindow="0" yWindow="0" windowWidth="22035" windowHeight="9780" xr2:uid="{00000000-000D-0000-FFFF-FFFF00000000}"/>
  </bookViews>
  <sheets>
    <sheet name="UDP MFD Order Form" sheetId="1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B27" i="1"/>
  <c r="B26" i="1"/>
  <c r="B25" i="1"/>
  <c r="B24" i="1"/>
  <c r="B23" i="1"/>
  <c r="G23" i="1" s="1"/>
  <c r="B21" i="1"/>
  <c r="P8" i="3" l="1"/>
  <c r="P9" i="3"/>
  <c r="P10" i="3"/>
  <c r="P11" i="3"/>
  <c r="P12" i="3"/>
  <c r="P13" i="3"/>
  <c r="P14" i="3"/>
  <c r="P4" i="3"/>
  <c r="P5" i="3"/>
  <c r="P6" i="3"/>
  <c r="P7" i="3"/>
  <c r="P3" i="3"/>
  <c r="G24" i="1" l="1"/>
  <c r="G25" i="1"/>
  <c r="G26" i="1"/>
  <c r="G27" i="1"/>
  <c r="G28" i="1"/>
  <c r="G29" i="1"/>
  <c r="G30" i="1"/>
  <c r="G31" i="1"/>
  <c r="G32" i="1"/>
  <c r="G33" i="1"/>
  <c r="B22" i="1"/>
  <c r="G22" i="1" s="1"/>
  <c r="G21" i="1"/>
  <c r="M15" i="3"/>
  <c r="L15" i="3"/>
  <c r="K15" i="3"/>
  <c r="R14" i="3"/>
  <c r="Q14" i="3"/>
  <c r="M14" i="3"/>
  <c r="L14" i="3"/>
  <c r="K14" i="3"/>
  <c r="J14" i="3"/>
  <c r="I14" i="3"/>
  <c r="H14" i="3"/>
  <c r="R13" i="3"/>
  <c r="Q13" i="3"/>
  <c r="M13" i="3"/>
  <c r="L13" i="3"/>
  <c r="K13" i="3"/>
  <c r="J13" i="3"/>
  <c r="I13" i="3"/>
  <c r="H13" i="3"/>
  <c r="R12" i="3"/>
  <c r="Q12" i="3"/>
  <c r="O12" i="3"/>
  <c r="N12" i="3"/>
  <c r="M12" i="3"/>
  <c r="L12" i="3"/>
  <c r="K12" i="3"/>
  <c r="J12" i="3"/>
  <c r="I12" i="3"/>
  <c r="H12" i="3"/>
  <c r="F12" i="3"/>
  <c r="E12" i="3"/>
  <c r="R11" i="3"/>
  <c r="Q11" i="3"/>
  <c r="O11" i="3"/>
  <c r="N11" i="3"/>
  <c r="M11" i="3"/>
  <c r="L11" i="3"/>
  <c r="K11" i="3"/>
  <c r="J11" i="3"/>
  <c r="I11" i="3"/>
  <c r="H11" i="3"/>
  <c r="F11" i="3"/>
  <c r="E11" i="3"/>
  <c r="R10" i="3"/>
  <c r="Q10" i="3"/>
  <c r="O10" i="3"/>
  <c r="N10" i="3"/>
  <c r="M10" i="3"/>
  <c r="L10" i="3"/>
  <c r="K10" i="3"/>
  <c r="J10" i="3"/>
  <c r="I10" i="3"/>
  <c r="H10" i="3"/>
  <c r="F10" i="3"/>
  <c r="E10" i="3"/>
  <c r="R9" i="3"/>
  <c r="Q9" i="3"/>
  <c r="O9" i="3"/>
  <c r="N9" i="3"/>
  <c r="M9" i="3"/>
  <c r="L9" i="3"/>
  <c r="K9" i="3"/>
  <c r="J9" i="3"/>
  <c r="I9" i="3"/>
  <c r="H9" i="3"/>
  <c r="F9" i="3"/>
  <c r="E9" i="3"/>
  <c r="N8" i="3"/>
  <c r="E8" i="3"/>
  <c r="R7" i="3"/>
  <c r="Q7" i="3"/>
  <c r="M7" i="3"/>
  <c r="L7" i="3"/>
  <c r="K7" i="3"/>
  <c r="J7" i="3"/>
  <c r="I7" i="3"/>
  <c r="H7" i="3"/>
  <c r="F7" i="3"/>
  <c r="R6" i="3"/>
  <c r="Q6" i="3"/>
  <c r="O6" i="3"/>
  <c r="N6" i="3"/>
  <c r="M6" i="3"/>
  <c r="L6" i="3"/>
  <c r="K6" i="3"/>
  <c r="J6" i="3"/>
  <c r="I6" i="3"/>
  <c r="H6" i="3"/>
  <c r="F6" i="3"/>
  <c r="E6" i="3"/>
  <c r="R5" i="3"/>
  <c r="Q5" i="3"/>
  <c r="O5" i="3"/>
  <c r="N5" i="3"/>
  <c r="M5" i="3"/>
  <c r="L5" i="3"/>
  <c r="K5" i="3"/>
  <c r="J5" i="3"/>
  <c r="I5" i="3"/>
  <c r="H5" i="3"/>
  <c r="F5" i="3"/>
  <c r="E5" i="3"/>
  <c r="R4" i="3"/>
  <c r="Q4" i="3"/>
  <c r="O4" i="3"/>
  <c r="N4" i="3"/>
  <c r="M4" i="3"/>
  <c r="L4" i="3"/>
  <c r="K4" i="3"/>
  <c r="J4" i="3"/>
  <c r="I4" i="3"/>
  <c r="H4" i="3"/>
  <c r="F4" i="3"/>
  <c r="E4" i="3"/>
  <c r="R3" i="3"/>
  <c r="Q3" i="3"/>
  <c r="O3" i="3"/>
  <c r="N3" i="3"/>
  <c r="M3" i="3"/>
  <c r="L3" i="3"/>
  <c r="K3" i="3"/>
  <c r="J3" i="3"/>
  <c r="I3" i="3"/>
  <c r="H3" i="3"/>
  <c r="F3" i="3"/>
  <c r="E3" i="3"/>
  <c r="R2" i="3"/>
  <c r="Q2" i="3"/>
  <c r="P2" i="3"/>
  <c r="O2" i="3"/>
  <c r="N2" i="3"/>
  <c r="M2" i="3"/>
  <c r="L2" i="3"/>
  <c r="K2" i="3"/>
  <c r="J2" i="3"/>
  <c r="I2" i="3"/>
  <c r="H2" i="3"/>
  <c r="F2" i="3"/>
  <c r="E2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D19" i="1"/>
  <c r="D18" i="1"/>
  <c r="G18" i="1" s="1"/>
  <c r="G16" i="1"/>
  <c r="G19" i="1" l="1"/>
  <c r="G34" i="1" s="1"/>
</calcChain>
</file>

<file path=xl/sharedStrings.xml><?xml version="1.0" encoding="utf-8"?>
<sst xmlns="http://schemas.openxmlformats.org/spreadsheetml/2006/main" count="156" uniqueCount="91">
  <si>
    <t>Additional Paper Drawers (2 x 500 sheets)</t>
  </si>
  <si>
    <t>Basic Office Finisher (50 sheet Staple)</t>
  </si>
  <si>
    <t>Advanced Office Finisher (100 sheet staple)</t>
  </si>
  <si>
    <t>Internal Wing Finisher</t>
  </si>
  <si>
    <t>Keyboard</t>
  </si>
  <si>
    <t>Card Reader</t>
  </si>
  <si>
    <t xml:space="preserve">For Purchasing Use Only: </t>
  </si>
  <si>
    <t>Special installation instructions:</t>
  </si>
  <si>
    <t>Additional Paper Drawer  (1 x 2500 sheets)</t>
  </si>
  <si>
    <t xml:space="preserve">  Department Name:  </t>
  </si>
  <si>
    <t xml:space="preserve">  Location (Building and Room #):</t>
  </si>
  <si>
    <t xml:space="preserve">  Contact Name:</t>
  </si>
  <si>
    <t xml:space="preserve">    Phone:</t>
  </si>
  <si>
    <t xml:space="preserve">    Email:</t>
  </si>
  <si>
    <t xml:space="preserve">     ADD 2/3-Hole Punch Kit</t>
  </si>
  <si>
    <t xml:space="preserve">     ADD Saddle Stitch Kit</t>
  </si>
  <si>
    <t xml:space="preserve">     Delivery Address:</t>
  </si>
  <si>
    <t xml:space="preserve">     Building Name and Room #:</t>
  </si>
  <si>
    <t>Black</t>
  </si>
  <si>
    <t>Color</t>
  </si>
  <si>
    <t xml:space="preserve">  Color MFD  - Black and Color copies</t>
  </si>
  <si>
    <t xml:space="preserve">  Black &amp; White MFD - Black copies only</t>
  </si>
  <si>
    <t>Department Name and Cost Center #:</t>
  </si>
  <si>
    <t>Base Cost:</t>
  </si>
  <si>
    <t xml:space="preserve">  Savin Model #:</t>
  </si>
  <si>
    <t xml:space="preserve">  SH (copier ID) #: </t>
  </si>
  <si>
    <t>Annual Total (includes 1.5% discount)</t>
  </si>
  <si>
    <t>PREVIOUS SAVIN COPIER INFORMATION</t>
  </si>
  <si>
    <t>NEW KONICA MINOLTA MFD INFORMATION</t>
  </si>
  <si>
    <t>DEPARTMENT INFORMATION</t>
  </si>
  <si>
    <t>Cost:</t>
  </si>
  <si>
    <t>Copier</t>
  </si>
  <si>
    <t>Rate</t>
  </si>
  <si>
    <t>Color - bizhub C258</t>
  </si>
  <si>
    <t>Color - bizhub C308</t>
  </si>
  <si>
    <t>Color - bizhub C368</t>
  </si>
  <si>
    <t>Color - bizhub C458</t>
  </si>
  <si>
    <t>Color - bizhub C558</t>
  </si>
  <si>
    <t>Color - bizhub C658</t>
  </si>
  <si>
    <t>B&amp;W - bizhub 4750</t>
  </si>
  <si>
    <t>B&amp;W - bizhub 308</t>
  </si>
  <si>
    <t>B&amp;W - bizhub 368</t>
  </si>
  <si>
    <t>B&amp;W - bizhub 458</t>
  </si>
  <si>
    <t>B&amp;W - bizhub 558</t>
  </si>
  <si>
    <t>B&amp;W - bizhub 808</t>
  </si>
  <si>
    <t>B&amp;W - bizhub 958</t>
  </si>
  <si>
    <t>B&amp;W - bizhub pro 1100</t>
  </si>
  <si>
    <t>N/A</t>
  </si>
  <si>
    <t>Base Rate</t>
  </si>
  <si>
    <t>BW</t>
  </si>
  <si>
    <t>Additional Drawer 2 x 500</t>
  </si>
  <si>
    <t>Additional Drawer 1 x 2500</t>
  </si>
  <si>
    <t>Basic Office Finisher 50 sheet staple</t>
  </si>
  <si>
    <t>Add 2/3 Hole Punch Kit</t>
  </si>
  <si>
    <t>Add Saddle Stitch Kit</t>
  </si>
  <si>
    <t>Advanced office Finisher 100 sheet staple</t>
  </si>
  <si>
    <t>Add 2/3 Hole punch kit</t>
  </si>
  <si>
    <t>Fax kit</t>
  </si>
  <si>
    <t>Included</t>
  </si>
  <si>
    <t>Annual Cost</t>
  </si>
  <si>
    <t>Yes/No</t>
  </si>
  <si>
    <t>Yes</t>
  </si>
  <si>
    <t>No</t>
  </si>
  <si>
    <t xml:space="preserve">Location for installation: </t>
  </si>
  <si>
    <t>All leased Savin copiers are required to be returned.  A form must be completed for each copier.</t>
  </si>
  <si>
    <t>NOTE: Fax Kits will not be an option.  A different fax solution will be provided.</t>
  </si>
  <si>
    <t>Accessories - Answer Yes or No.</t>
  </si>
  <si>
    <t>Enter estimated # of annual copies:</t>
  </si>
  <si>
    <t>Large Capacity Paper Tray 300 sheets</t>
  </si>
  <si>
    <t>Large Capacity Paper Tray (3000 sheets)</t>
  </si>
  <si>
    <t>Approved by IT: ____________________________________________________________ Date: ____________________</t>
  </si>
  <si>
    <t xml:space="preserve"> Contact Name #1:</t>
  </si>
  <si>
    <t xml:space="preserve"> Contact Name #2:</t>
  </si>
  <si>
    <t>Cost Center Manager Signature: ____________________________________________________________________________</t>
  </si>
  <si>
    <t>Please send the completed, signed form to the Purchasing Office, purchasing@fhsu.edu.</t>
  </si>
  <si>
    <r>
      <t xml:space="preserve">UDP Model # </t>
    </r>
    <r>
      <rPr>
        <sz val="10"/>
        <color theme="1"/>
        <rFont val="Arial"/>
        <family val="2"/>
      </rPr>
      <t>(click in the cell to the right to select model from the drop down box)</t>
    </r>
    <r>
      <rPr>
        <b/>
        <sz val="10"/>
        <color theme="1"/>
        <rFont val="Arial"/>
        <family val="2"/>
      </rPr>
      <t>:</t>
    </r>
  </si>
  <si>
    <t>For Departments Sharing MFDs include the following information:</t>
  </si>
  <si>
    <t xml:space="preserve">  Department #1:</t>
  </si>
  <si>
    <t xml:space="preserve">    Department Name:</t>
  </si>
  <si>
    <t xml:space="preserve">    Cost Center #:  </t>
  </si>
  <si>
    <t xml:space="preserve">    Percentage Split:</t>
  </si>
  <si>
    <t xml:space="preserve">  Department #2:</t>
  </si>
  <si>
    <t xml:space="preserve">  Department #3:</t>
  </si>
  <si>
    <t xml:space="preserve">  Department #4:</t>
  </si>
  <si>
    <t>Send back to the department to approve changes: _________________________________ Date: _________________</t>
  </si>
  <si>
    <t>Approved by Purchasing: _____________________________________________________ Date: __________________</t>
  </si>
  <si>
    <t>If sharing device, include department name, Cost Center #, and % split information below.</t>
  </si>
  <si>
    <t xml:space="preserve">I hereby acknowledge that this order is being placed under the terms of contract 17010701 and further certify that I have the authority to order. </t>
  </si>
  <si>
    <t>For service/supplies contact: (913) 599–0299, (888) 253-0299, www.udpcorp.com, service@udpcorp.com</t>
  </si>
  <si>
    <t>SumnerONE/UDP Contract from November 1, 2017 to December 31, 2022 (8058 Flint, Lenexa KS 666215)</t>
  </si>
  <si>
    <t xml:space="preserve">UDP Konica-Minolta MFD Order Form – Contract 17010701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</si>
</sst>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sz val="7.7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7" fontId="2" fillId="3" borderId="10" xfId="1" applyNumberFormat="1" applyFont="1" applyFill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44" fontId="3" fillId="0" borderId="0" xfId="1" applyFont="1" applyFill="1" applyAlignment="1">
      <alignment horizontal="left"/>
    </xf>
    <xf numFmtId="44" fontId="4" fillId="0" borderId="0" xfId="1" applyFont="1" applyFill="1" applyAlignment="1">
      <alignment horizontal="left"/>
    </xf>
    <xf numFmtId="7" fontId="3" fillId="0" borderId="8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7" fontId="3" fillId="0" borderId="0" xfId="1" applyNumberFormat="1" applyFont="1" applyFill="1" applyBorder="1" applyAlignment="1">
      <alignment horizontal="center"/>
    </xf>
    <xf numFmtId="7" fontId="3" fillId="0" borderId="4" xfId="1" applyNumberFormat="1" applyFont="1" applyFill="1" applyBorder="1" applyAlignment="1">
      <alignment horizontal="center"/>
    </xf>
    <xf numFmtId="0" fontId="6" fillId="0" borderId="0" xfId="0" applyFont="1"/>
    <xf numFmtId="0" fontId="5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6" xfId="0" applyFont="1" applyBorder="1"/>
    <xf numFmtId="0" fontId="6" fillId="0" borderId="6" xfId="0" applyFont="1" applyFill="1" applyBorder="1" applyAlignment="1">
      <alignment horizontal="left"/>
    </xf>
    <xf numFmtId="0" fontId="6" fillId="0" borderId="7" xfId="0" applyFont="1" applyBorder="1"/>
    <xf numFmtId="0" fontId="6" fillId="0" borderId="1" xfId="0" applyFont="1" applyFill="1" applyBorder="1" applyAlignment="1">
      <alignment horizontal="left"/>
    </xf>
    <xf numFmtId="0" fontId="8" fillId="0" borderId="6" xfId="0" applyFont="1" applyBorder="1" applyAlignment="1">
      <alignment wrapText="1"/>
    </xf>
    <xf numFmtId="0" fontId="8" fillId="0" borderId="0" xfId="0" applyFont="1" applyBorder="1" applyAlignment="1"/>
    <xf numFmtId="164" fontId="6" fillId="0" borderId="2" xfId="0" applyNumberFormat="1" applyFont="1" applyFill="1" applyBorder="1" applyAlignment="1">
      <alignment horizontal="right"/>
    </xf>
    <xf numFmtId="164" fontId="6" fillId="0" borderId="9" xfId="0" applyNumberFormat="1" applyFont="1" applyBorder="1" applyAlignment="1"/>
    <xf numFmtId="0" fontId="9" fillId="0" borderId="6" xfId="0" applyFont="1" applyBorder="1"/>
    <xf numFmtId="0" fontId="6" fillId="0" borderId="0" xfId="0" applyFont="1" applyBorder="1"/>
    <xf numFmtId="0" fontId="8" fillId="0" borderId="0" xfId="0" applyFont="1" applyBorder="1"/>
    <xf numFmtId="164" fontId="6" fillId="0" borderId="0" xfId="1" applyNumberFormat="1" applyFont="1" applyBorder="1" applyAlignment="1">
      <alignment horizontal="right"/>
    </xf>
    <xf numFmtId="164" fontId="6" fillId="0" borderId="9" xfId="1" applyNumberFormat="1" applyFont="1" applyBorder="1" applyAlignment="1">
      <alignment horizontal="left"/>
    </xf>
    <xf numFmtId="0" fontId="6" fillId="2" borderId="2" xfId="0" applyFont="1" applyFill="1" applyBorder="1" applyProtection="1">
      <protection locked="0"/>
    </xf>
    <xf numFmtId="164" fontId="6" fillId="0" borderId="2" xfId="1" applyNumberFormat="1" applyFont="1" applyBorder="1" applyAlignment="1">
      <alignment horizontal="right"/>
    </xf>
    <xf numFmtId="0" fontId="6" fillId="0" borderId="6" xfId="0" applyFont="1" applyFill="1" applyBorder="1"/>
    <xf numFmtId="0" fontId="10" fillId="2" borderId="2" xfId="0" applyFont="1" applyFill="1" applyBorder="1" applyProtection="1">
      <protection locked="0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0" fontId="6" fillId="2" borderId="2" xfId="0" applyFont="1" applyFill="1" applyBorder="1" applyAlignment="1" applyProtection="1">
      <alignment horizontal="center"/>
      <protection locked="0"/>
    </xf>
    <xf numFmtId="164" fontId="6" fillId="0" borderId="0" xfId="1" applyNumberFormat="1" applyFont="1" applyBorder="1" applyAlignment="1"/>
    <xf numFmtId="164" fontId="6" fillId="0" borderId="9" xfId="1" applyNumberFormat="1" applyFont="1" applyBorder="1" applyAlignment="1"/>
    <xf numFmtId="164" fontId="6" fillId="0" borderId="11" xfId="1" applyNumberFormat="1" applyFont="1" applyBorder="1" applyAlignment="1">
      <alignment horizontal="right"/>
    </xf>
    <xf numFmtId="0" fontId="5" fillId="0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44" fontId="6" fillId="0" borderId="0" xfId="1" applyFont="1" applyBorder="1" applyAlignment="1"/>
    <xf numFmtId="164" fontId="8" fillId="0" borderId="2" xfId="1" applyNumberFormat="1" applyFont="1" applyBorder="1" applyAlignment="1">
      <alignment horizontal="right"/>
    </xf>
    <xf numFmtId="10" fontId="6" fillId="0" borderId="0" xfId="0" applyNumberFormat="1" applyFont="1" applyFill="1"/>
    <xf numFmtId="164" fontId="6" fillId="0" borderId="1" xfId="1" applyNumberFormat="1" applyFont="1" applyBorder="1" applyAlignment="1"/>
    <xf numFmtId="0" fontId="8" fillId="0" borderId="0" xfId="0" applyFont="1"/>
    <xf numFmtId="0" fontId="8" fillId="0" borderId="6" xfId="0" applyFont="1" applyBorder="1"/>
    <xf numFmtId="0" fontId="6" fillId="0" borderId="9" xfId="0" applyFont="1" applyBorder="1" applyAlignment="1">
      <alignment horizontal="left"/>
    </xf>
    <xf numFmtId="0" fontId="6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zoomScale="94" zoomScaleNormal="94" workbookViewId="0">
      <selection activeCell="B7" sqref="B7:G7"/>
    </sheetView>
  </sheetViews>
  <sheetFormatPr defaultColWidth="8.85546875" defaultRowHeight="12.75" x14ac:dyDescent="0.2"/>
  <cols>
    <col min="1" max="1" width="38" style="9" customWidth="1"/>
    <col min="2" max="4" width="8.85546875" style="9"/>
    <col min="5" max="5" width="5.42578125" style="9" customWidth="1"/>
    <col min="6" max="6" width="9.7109375" style="9" customWidth="1"/>
    <col min="7" max="7" width="14.28515625" style="9" customWidth="1"/>
    <col min="8" max="8" width="2.28515625" style="9" customWidth="1"/>
    <col min="9" max="16384" width="8.85546875" style="9"/>
  </cols>
  <sheetData>
    <row r="1" spans="1:12" ht="16.149999999999999" customHeight="1" thickBot="1" x14ac:dyDescent="0.25">
      <c r="A1" s="69" t="s">
        <v>90</v>
      </c>
      <c r="B1" s="70"/>
      <c r="C1" s="70"/>
      <c r="D1" s="70"/>
      <c r="E1" s="70"/>
      <c r="F1" s="70"/>
      <c r="G1" s="70"/>
      <c r="H1" s="71"/>
      <c r="I1" s="13"/>
      <c r="J1" s="13"/>
      <c r="K1" s="13"/>
      <c r="L1" s="13"/>
    </row>
    <row r="2" spans="1:12" ht="14.45" customHeight="1" x14ac:dyDescent="0.2">
      <c r="A2" s="73" t="s">
        <v>89</v>
      </c>
      <c r="B2" s="73"/>
      <c r="C2" s="73"/>
      <c r="D2" s="73"/>
      <c r="E2" s="73"/>
      <c r="F2" s="73"/>
      <c r="G2" s="73"/>
      <c r="H2" s="73"/>
    </row>
    <row r="3" spans="1:12" ht="13.9" customHeight="1" thickBot="1" x14ac:dyDescent="0.25">
      <c r="A3" s="64" t="s">
        <v>88</v>
      </c>
      <c r="B3" s="64"/>
      <c r="C3" s="64"/>
      <c r="D3" s="64"/>
      <c r="E3" s="64"/>
      <c r="F3" s="64"/>
      <c r="G3" s="64"/>
      <c r="H3" s="64"/>
    </row>
    <row r="4" spans="1:12" ht="0.6" customHeight="1" thickBot="1" x14ac:dyDescent="0.25">
      <c r="A4" s="72"/>
      <c r="B4" s="72"/>
      <c r="C4" s="72"/>
      <c r="D4" s="72"/>
      <c r="E4" s="72"/>
      <c r="F4" s="72"/>
      <c r="G4" s="72"/>
      <c r="H4" s="72"/>
    </row>
    <row r="5" spans="1:12" ht="15.6" customHeight="1" x14ac:dyDescent="0.2">
      <c r="A5" s="74" t="s">
        <v>27</v>
      </c>
      <c r="B5" s="75"/>
      <c r="C5" s="75"/>
      <c r="D5" s="75"/>
      <c r="E5" s="75"/>
      <c r="F5" s="75"/>
      <c r="G5" s="75"/>
      <c r="H5" s="76"/>
    </row>
    <row r="6" spans="1:12" ht="14.1" customHeight="1" x14ac:dyDescent="0.2">
      <c r="A6" s="56" t="s">
        <v>64</v>
      </c>
      <c r="B6" s="57"/>
      <c r="C6" s="57"/>
      <c r="D6" s="57"/>
      <c r="E6" s="57"/>
      <c r="F6" s="57"/>
      <c r="G6" s="57"/>
      <c r="H6" s="58"/>
    </row>
    <row r="7" spans="1:12" ht="14.1" customHeight="1" x14ac:dyDescent="0.2">
      <c r="A7" s="14" t="s">
        <v>24</v>
      </c>
      <c r="B7" s="66"/>
      <c r="C7" s="66"/>
      <c r="D7" s="66"/>
      <c r="E7" s="66"/>
      <c r="F7" s="66"/>
      <c r="G7" s="66"/>
      <c r="H7" s="15"/>
    </row>
    <row r="8" spans="1:12" ht="14.1" customHeight="1" x14ac:dyDescent="0.2">
      <c r="A8" s="14" t="s">
        <v>25</v>
      </c>
      <c r="B8" s="66"/>
      <c r="C8" s="66"/>
      <c r="D8" s="66"/>
      <c r="E8" s="66"/>
      <c r="F8" s="66"/>
      <c r="G8" s="66"/>
      <c r="H8" s="15"/>
    </row>
    <row r="9" spans="1:12" ht="14.1" customHeight="1" x14ac:dyDescent="0.2">
      <c r="A9" s="14" t="s">
        <v>9</v>
      </c>
      <c r="B9" s="66"/>
      <c r="C9" s="66"/>
      <c r="D9" s="66"/>
      <c r="E9" s="66"/>
      <c r="F9" s="66"/>
      <c r="G9" s="66"/>
      <c r="H9" s="15"/>
    </row>
    <row r="10" spans="1:12" ht="14.1" customHeight="1" x14ac:dyDescent="0.2">
      <c r="A10" s="16" t="s">
        <v>10</v>
      </c>
      <c r="B10" s="66"/>
      <c r="C10" s="66"/>
      <c r="D10" s="66"/>
      <c r="E10" s="66"/>
      <c r="F10" s="66"/>
      <c r="G10" s="66"/>
      <c r="H10" s="15"/>
    </row>
    <row r="11" spans="1:12" ht="14.1" customHeight="1" x14ac:dyDescent="0.2">
      <c r="A11" s="17" t="s">
        <v>11</v>
      </c>
      <c r="B11" s="66"/>
      <c r="C11" s="66"/>
      <c r="D11" s="66"/>
      <c r="E11" s="66"/>
      <c r="F11" s="66"/>
      <c r="G11" s="66"/>
      <c r="H11" s="15"/>
    </row>
    <row r="12" spans="1:12" ht="14.1" customHeight="1" x14ac:dyDescent="0.2">
      <c r="A12" s="16" t="s">
        <v>12</v>
      </c>
      <c r="B12" s="66"/>
      <c r="C12" s="66"/>
      <c r="D12" s="66"/>
      <c r="E12" s="66"/>
      <c r="F12" s="66"/>
      <c r="G12" s="66"/>
      <c r="H12" s="15"/>
    </row>
    <row r="13" spans="1:12" ht="14.1" customHeight="1" thickBot="1" x14ac:dyDescent="0.25">
      <c r="A13" s="18" t="s">
        <v>13</v>
      </c>
      <c r="B13" s="67"/>
      <c r="C13" s="67"/>
      <c r="D13" s="67"/>
      <c r="E13" s="67"/>
      <c r="F13" s="67"/>
      <c r="G13" s="67"/>
      <c r="H13" s="19"/>
    </row>
    <row r="14" spans="1:12" ht="2.4500000000000002" customHeight="1" thickBot="1" x14ac:dyDescent="0.25">
      <c r="A14" s="68"/>
      <c r="B14" s="68"/>
      <c r="C14" s="68"/>
      <c r="D14" s="68"/>
      <c r="E14" s="68"/>
      <c r="F14" s="68"/>
      <c r="G14" s="68"/>
      <c r="H14" s="68"/>
    </row>
    <row r="15" spans="1:12" ht="15.6" customHeight="1" x14ac:dyDescent="0.2">
      <c r="A15" s="78" t="s">
        <v>28</v>
      </c>
      <c r="B15" s="79"/>
      <c r="C15" s="79"/>
      <c r="D15" s="79"/>
      <c r="E15" s="79"/>
      <c r="F15" s="79"/>
      <c r="G15" s="79"/>
      <c r="H15" s="80"/>
    </row>
    <row r="16" spans="1:12" ht="30" customHeight="1" x14ac:dyDescent="0.2">
      <c r="A16" s="20" t="s">
        <v>75</v>
      </c>
      <c r="B16" s="81"/>
      <c r="C16" s="81"/>
      <c r="D16" s="81"/>
      <c r="E16" s="81"/>
      <c r="F16" s="21" t="s">
        <v>23</v>
      </c>
      <c r="G16" s="22" t="e">
        <f>VLOOKUP(B16,Sheet1!A2:B15,2,0)</f>
        <v>#N/A</v>
      </c>
      <c r="H16" s="23"/>
    </row>
    <row r="17" spans="1:8" ht="14.1" customHeight="1" x14ac:dyDescent="0.2">
      <c r="A17" s="24" t="s">
        <v>67</v>
      </c>
      <c r="B17" s="25"/>
      <c r="C17" s="25"/>
      <c r="D17" s="26" t="s">
        <v>32</v>
      </c>
      <c r="E17" s="25"/>
      <c r="F17" s="25"/>
      <c r="G17" s="27"/>
      <c r="H17" s="28"/>
    </row>
    <row r="18" spans="1:8" ht="14.1" customHeight="1" x14ac:dyDescent="0.2">
      <c r="A18" s="16" t="s">
        <v>21</v>
      </c>
      <c r="B18" s="26" t="s">
        <v>18</v>
      </c>
      <c r="C18" s="29"/>
      <c r="D18" s="25" t="e">
        <f>VLOOKUP(B16,Sheet1!A2:D15,3,0)</f>
        <v>#N/A</v>
      </c>
      <c r="E18" s="25"/>
      <c r="F18" s="21" t="s">
        <v>30</v>
      </c>
      <c r="G18" s="30" t="e">
        <f>D18*C18</f>
        <v>#N/A</v>
      </c>
      <c r="H18" s="28"/>
    </row>
    <row r="19" spans="1:8" ht="14.1" customHeight="1" x14ac:dyDescent="0.2">
      <c r="A19" s="31" t="s">
        <v>20</v>
      </c>
      <c r="B19" s="26" t="s">
        <v>19</v>
      </c>
      <c r="C19" s="32"/>
      <c r="D19" s="25" t="e">
        <f>VLOOKUP(B16,Sheet1!A2:D15,4,0)</f>
        <v>#N/A</v>
      </c>
      <c r="E19" s="25"/>
      <c r="F19" s="21" t="s">
        <v>30</v>
      </c>
      <c r="G19" s="30" t="e">
        <f>D19*C19</f>
        <v>#N/A</v>
      </c>
      <c r="H19" s="28"/>
    </row>
    <row r="20" spans="1:8" ht="14.1" customHeight="1" x14ac:dyDescent="0.2">
      <c r="A20" s="10" t="s">
        <v>66</v>
      </c>
      <c r="B20" s="57" t="s">
        <v>59</v>
      </c>
      <c r="C20" s="57"/>
      <c r="D20" s="33" t="s">
        <v>60</v>
      </c>
      <c r="E20" s="34"/>
      <c r="F20" s="34"/>
      <c r="G20" s="35"/>
      <c r="H20" s="23"/>
    </row>
    <row r="21" spans="1:8" ht="14.1" customHeight="1" x14ac:dyDescent="0.2">
      <c r="A21" s="11" t="s">
        <v>0</v>
      </c>
      <c r="B21" s="65" t="e">
        <f>VLOOKUP($B$16,Sheet1!$A$1:$R$15,5,0)</f>
        <v>#N/A</v>
      </c>
      <c r="C21" s="65"/>
      <c r="D21" s="36" t="s">
        <v>62</v>
      </c>
      <c r="E21" s="25"/>
      <c r="F21" s="37"/>
      <c r="G21" s="30">
        <f>IF(D21="No",0,B21)</f>
        <v>0</v>
      </c>
      <c r="H21" s="38"/>
    </row>
    <row r="22" spans="1:8" ht="14.1" customHeight="1" x14ac:dyDescent="0.2">
      <c r="A22" s="11" t="s">
        <v>8</v>
      </c>
      <c r="B22" s="65" t="e">
        <f>VLOOKUP($B$16,Sheet1!$A$1:$R$15,6,0)</f>
        <v>#N/A</v>
      </c>
      <c r="C22" s="65"/>
      <c r="D22" s="36" t="s">
        <v>62</v>
      </c>
      <c r="E22" s="25"/>
      <c r="F22" s="37"/>
      <c r="G22" s="30">
        <f t="shared" ref="G22:G33" si="0">IF(D22="No",0,B22)</f>
        <v>0</v>
      </c>
      <c r="H22" s="38"/>
    </row>
    <row r="23" spans="1:8" ht="14.1" customHeight="1" x14ac:dyDescent="0.2">
      <c r="A23" s="11" t="s">
        <v>69</v>
      </c>
      <c r="B23" s="65" t="e">
        <f>VLOOKUP($B$16,Sheet1!$A$1:$R$15,7,0)</f>
        <v>#N/A</v>
      </c>
      <c r="C23" s="65"/>
      <c r="D23" s="36" t="s">
        <v>62</v>
      </c>
      <c r="E23" s="25"/>
      <c r="F23" s="37"/>
      <c r="G23" s="30">
        <f t="shared" si="0"/>
        <v>0</v>
      </c>
      <c r="H23" s="38"/>
    </row>
    <row r="24" spans="1:8" ht="14.1" customHeight="1" x14ac:dyDescent="0.2">
      <c r="A24" s="11" t="s">
        <v>1</v>
      </c>
      <c r="B24" s="65" t="e">
        <f>VLOOKUP($B$16,Sheet1!$A$1:$R$15,8,0)</f>
        <v>#N/A</v>
      </c>
      <c r="C24" s="65"/>
      <c r="D24" s="36" t="s">
        <v>62</v>
      </c>
      <c r="E24" s="25"/>
      <c r="F24" s="37"/>
      <c r="G24" s="30">
        <f t="shared" si="0"/>
        <v>0</v>
      </c>
      <c r="H24" s="38"/>
    </row>
    <row r="25" spans="1:8" ht="14.1" customHeight="1" x14ac:dyDescent="0.2">
      <c r="A25" s="11" t="s">
        <v>14</v>
      </c>
      <c r="B25" s="65" t="e">
        <f>VLOOKUP($B$16,Sheet1!$A$1:$R$15,9,0)</f>
        <v>#N/A</v>
      </c>
      <c r="C25" s="65"/>
      <c r="D25" s="36" t="s">
        <v>62</v>
      </c>
      <c r="E25" s="25"/>
      <c r="F25" s="37"/>
      <c r="G25" s="30">
        <f t="shared" si="0"/>
        <v>0</v>
      </c>
      <c r="H25" s="38"/>
    </row>
    <row r="26" spans="1:8" ht="14.1" customHeight="1" x14ac:dyDescent="0.2">
      <c r="A26" s="11" t="s">
        <v>15</v>
      </c>
      <c r="B26" s="65" t="e">
        <f>VLOOKUP($B$16,Sheet1!$A$1:$R$15,10,0)</f>
        <v>#N/A</v>
      </c>
      <c r="C26" s="65"/>
      <c r="D26" s="36" t="s">
        <v>62</v>
      </c>
      <c r="E26" s="25"/>
      <c r="F26" s="37"/>
      <c r="G26" s="30">
        <f t="shared" si="0"/>
        <v>0</v>
      </c>
      <c r="H26" s="38"/>
    </row>
    <row r="27" spans="1:8" ht="14.1" customHeight="1" x14ac:dyDescent="0.2">
      <c r="A27" s="11" t="s">
        <v>2</v>
      </c>
      <c r="B27" s="65" t="e">
        <f>VLOOKUP($B$16,Sheet1!$A$1:$R$15,11,0)</f>
        <v>#N/A</v>
      </c>
      <c r="C27" s="65"/>
      <c r="D27" s="36" t="s">
        <v>62</v>
      </c>
      <c r="E27" s="25"/>
      <c r="F27" s="37"/>
      <c r="G27" s="30">
        <f t="shared" si="0"/>
        <v>0</v>
      </c>
      <c r="H27" s="38"/>
    </row>
    <row r="28" spans="1:8" ht="14.1" customHeight="1" x14ac:dyDescent="0.2">
      <c r="A28" s="11" t="s">
        <v>14</v>
      </c>
      <c r="B28" s="65" t="e">
        <f>VLOOKUP($B$16,Sheet1!$A$1:$R$15,12,0)</f>
        <v>#N/A</v>
      </c>
      <c r="C28" s="65"/>
      <c r="D28" s="36" t="s">
        <v>62</v>
      </c>
      <c r="E28" s="25"/>
      <c r="F28" s="37"/>
      <c r="G28" s="30">
        <f t="shared" si="0"/>
        <v>0</v>
      </c>
      <c r="H28" s="38"/>
    </row>
    <row r="29" spans="1:8" ht="14.1" customHeight="1" x14ac:dyDescent="0.2">
      <c r="A29" s="11" t="s">
        <v>15</v>
      </c>
      <c r="B29" s="65" t="e">
        <f>VLOOKUP($B$16,Sheet1!$A$1:$R$15,13,0)</f>
        <v>#N/A</v>
      </c>
      <c r="C29" s="65"/>
      <c r="D29" s="36" t="s">
        <v>62</v>
      </c>
      <c r="E29" s="25"/>
      <c r="F29" s="37"/>
      <c r="G29" s="30">
        <f t="shared" si="0"/>
        <v>0</v>
      </c>
      <c r="H29" s="38"/>
    </row>
    <row r="30" spans="1:8" ht="14.1" customHeight="1" x14ac:dyDescent="0.2">
      <c r="A30" s="11" t="s">
        <v>3</v>
      </c>
      <c r="B30" s="65" t="e">
        <f>VLOOKUP($B$16,Sheet1!$A$1:$R$15,14,0)</f>
        <v>#N/A</v>
      </c>
      <c r="C30" s="65"/>
      <c r="D30" s="36" t="s">
        <v>62</v>
      </c>
      <c r="E30" s="25"/>
      <c r="F30" s="37"/>
      <c r="G30" s="30">
        <f t="shared" si="0"/>
        <v>0</v>
      </c>
      <c r="H30" s="38"/>
    </row>
    <row r="31" spans="1:8" ht="14.1" customHeight="1" x14ac:dyDescent="0.2">
      <c r="A31" s="11" t="s">
        <v>14</v>
      </c>
      <c r="B31" s="65" t="e">
        <f>VLOOKUP($B$16,Sheet1!$A$1:$R$15,15,0)</f>
        <v>#N/A</v>
      </c>
      <c r="C31" s="65"/>
      <c r="D31" s="36" t="s">
        <v>62</v>
      </c>
      <c r="E31" s="25"/>
      <c r="F31" s="37"/>
      <c r="G31" s="30">
        <f t="shared" si="0"/>
        <v>0</v>
      </c>
      <c r="H31" s="38"/>
    </row>
    <row r="32" spans="1:8" ht="14.1" customHeight="1" x14ac:dyDescent="0.2">
      <c r="A32" s="12" t="s">
        <v>4</v>
      </c>
      <c r="B32" s="65" t="e">
        <f>VLOOKUP($B$16,Sheet1!$A$1:$R$15,17,0)</f>
        <v>#N/A</v>
      </c>
      <c r="C32" s="65"/>
      <c r="D32" s="36" t="s">
        <v>62</v>
      </c>
      <c r="E32" s="25"/>
      <c r="F32" s="37"/>
      <c r="G32" s="30">
        <f t="shared" si="0"/>
        <v>0</v>
      </c>
      <c r="H32" s="38"/>
    </row>
    <row r="33" spans="1:12" ht="14.1" customHeight="1" x14ac:dyDescent="0.2">
      <c r="A33" s="12" t="s">
        <v>5</v>
      </c>
      <c r="B33" s="65" t="e">
        <f>VLOOKUP($B$16,Sheet1!$A$1:$R$15,18,0)</f>
        <v>#N/A</v>
      </c>
      <c r="C33" s="65"/>
      <c r="D33" s="36" t="s">
        <v>62</v>
      </c>
      <c r="E33" s="25"/>
      <c r="F33" s="37"/>
      <c r="G33" s="39">
        <f t="shared" si="0"/>
        <v>0</v>
      </c>
      <c r="H33" s="38"/>
    </row>
    <row r="34" spans="1:12" ht="16.149999999999999" customHeight="1" x14ac:dyDescent="0.2">
      <c r="A34" s="40" t="s">
        <v>26</v>
      </c>
      <c r="B34" s="77"/>
      <c r="C34" s="77"/>
      <c r="D34" s="41"/>
      <c r="E34" s="41"/>
      <c r="F34" s="42"/>
      <c r="G34" s="43" t="e">
        <f>(SUM(G16:G33)*0.985)</f>
        <v>#N/A</v>
      </c>
      <c r="H34" s="38"/>
      <c r="I34" s="44"/>
    </row>
    <row r="35" spans="1:12" ht="14.1" customHeight="1" thickBot="1" x14ac:dyDescent="0.25">
      <c r="A35" s="89" t="s">
        <v>65</v>
      </c>
      <c r="B35" s="90"/>
      <c r="C35" s="90"/>
      <c r="D35" s="90"/>
      <c r="E35" s="90"/>
      <c r="F35" s="90"/>
      <c r="G35" s="90"/>
      <c r="H35" s="45"/>
    </row>
    <row r="36" spans="1:12" ht="2.4500000000000002" customHeight="1" thickBot="1" x14ac:dyDescent="0.25">
      <c r="A36" s="59"/>
      <c r="B36" s="59"/>
      <c r="C36" s="59"/>
      <c r="D36" s="59"/>
      <c r="E36" s="59"/>
      <c r="F36" s="59"/>
      <c r="G36" s="59"/>
      <c r="H36" s="59"/>
    </row>
    <row r="37" spans="1:12" ht="15.6" customHeight="1" x14ac:dyDescent="0.2">
      <c r="A37" s="74" t="s">
        <v>29</v>
      </c>
      <c r="B37" s="75"/>
      <c r="C37" s="75"/>
      <c r="D37" s="75"/>
      <c r="E37" s="75"/>
      <c r="F37" s="75"/>
      <c r="G37" s="75"/>
      <c r="H37" s="76"/>
      <c r="L37" s="46"/>
    </row>
    <row r="38" spans="1:12" ht="14.1" customHeight="1" x14ac:dyDescent="0.2">
      <c r="A38" s="47" t="s">
        <v>22</v>
      </c>
      <c r="B38" s="66"/>
      <c r="C38" s="66"/>
      <c r="D38" s="66"/>
      <c r="E38" s="66"/>
      <c r="F38" s="66"/>
      <c r="G38" s="66"/>
      <c r="H38" s="48"/>
    </row>
    <row r="39" spans="1:12" ht="26.45" customHeight="1" x14ac:dyDescent="0.2">
      <c r="A39" s="49" t="s">
        <v>86</v>
      </c>
      <c r="B39" s="66"/>
      <c r="C39" s="66"/>
      <c r="D39" s="66"/>
      <c r="E39" s="66"/>
      <c r="F39" s="66"/>
      <c r="G39" s="66"/>
      <c r="H39" s="48"/>
    </row>
    <row r="40" spans="1:12" ht="14.1" customHeight="1" x14ac:dyDescent="0.2">
      <c r="A40" s="47" t="s">
        <v>63</v>
      </c>
      <c r="B40" s="66"/>
      <c r="C40" s="66"/>
      <c r="D40" s="66"/>
      <c r="E40" s="66"/>
      <c r="F40" s="66"/>
      <c r="G40" s="66"/>
      <c r="H40" s="48"/>
    </row>
    <row r="41" spans="1:12" ht="14.1" customHeight="1" x14ac:dyDescent="0.2">
      <c r="A41" s="16" t="s">
        <v>16</v>
      </c>
      <c r="B41" s="66"/>
      <c r="C41" s="66"/>
      <c r="D41" s="66"/>
      <c r="E41" s="66"/>
      <c r="F41" s="66"/>
      <c r="G41" s="66"/>
      <c r="H41" s="48"/>
    </row>
    <row r="42" spans="1:12" ht="14.1" customHeight="1" x14ac:dyDescent="0.2">
      <c r="A42" s="16" t="s">
        <v>17</v>
      </c>
      <c r="B42" s="66"/>
      <c r="C42" s="66"/>
      <c r="D42" s="66"/>
      <c r="E42" s="66"/>
      <c r="F42" s="66"/>
      <c r="G42" s="66"/>
      <c r="H42" s="48"/>
    </row>
    <row r="43" spans="1:12" ht="14.1" customHeight="1" x14ac:dyDescent="0.2">
      <c r="A43" s="50" t="s">
        <v>71</v>
      </c>
      <c r="B43" s="66"/>
      <c r="C43" s="66"/>
      <c r="D43" s="66"/>
      <c r="E43" s="66"/>
      <c r="F43" s="66"/>
      <c r="G43" s="66"/>
      <c r="H43" s="48"/>
    </row>
    <row r="44" spans="1:12" ht="14.1" customHeight="1" x14ac:dyDescent="0.2">
      <c r="A44" s="16" t="s">
        <v>12</v>
      </c>
      <c r="B44" s="66"/>
      <c r="C44" s="66"/>
      <c r="D44" s="66"/>
      <c r="E44" s="66"/>
      <c r="F44" s="66"/>
      <c r="G44" s="66"/>
      <c r="H44" s="48"/>
    </row>
    <row r="45" spans="1:12" ht="14.1" customHeight="1" x14ac:dyDescent="0.2">
      <c r="A45" s="16" t="s">
        <v>13</v>
      </c>
      <c r="B45" s="66"/>
      <c r="C45" s="66"/>
      <c r="D45" s="66"/>
      <c r="E45" s="66"/>
      <c r="F45" s="66"/>
      <c r="G45" s="66"/>
      <c r="H45" s="48"/>
    </row>
    <row r="46" spans="1:12" ht="14.1" customHeight="1" x14ac:dyDescent="0.2">
      <c r="A46" s="50" t="s">
        <v>72</v>
      </c>
      <c r="B46" s="66"/>
      <c r="C46" s="66"/>
      <c r="D46" s="66"/>
      <c r="E46" s="66"/>
      <c r="F46" s="66"/>
      <c r="G46" s="66"/>
      <c r="H46" s="48"/>
    </row>
    <row r="47" spans="1:12" ht="14.1" customHeight="1" x14ac:dyDescent="0.2">
      <c r="A47" s="16" t="s">
        <v>12</v>
      </c>
      <c r="B47" s="66"/>
      <c r="C47" s="66"/>
      <c r="D47" s="66"/>
      <c r="E47" s="66"/>
      <c r="F47" s="66"/>
      <c r="G47" s="66"/>
      <c r="H47" s="48"/>
    </row>
    <row r="48" spans="1:12" ht="14.1" customHeight="1" x14ac:dyDescent="0.2">
      <c r="A48" s="16" t="s">
        <v>13</v>
      </c>
      <c r="B48" s="66"/>
      <c r="C48" s="66"/>
      <c r="D48" s="66"/>
      <c r="E48" s="66"/>
      <c r="F48" s="66"/>
      <c r="G48" s="66"/>
      <c r="H48" s="48"/>
    </row>
    <row r="49" spans="1:8" x14ac:dyDescent="0.2">
      <c r="A49" s="88" t="s">
        <v>7</v>
      </c>
      <c r="B49" s="82"/>
      <c r="C49" s="83"/>
      <c r="D49" s="83"/>
      <c r="E49" s="83"/>
      <c r="F49" s="83"/>
      <c r="G49" s="84"/>
      <c r="H49" s="51"/>
    </row>
    <row r="50" spans="1:8" ht="10.15" customHeight="1" x14ac:dyDescent="0.2">
      <c r="A50" s="88"/>
      <c r="B50" s="85"/>
      <c r="C50" s="86"/>
      <c r="D50" s="86"/>
      <c r="E50" s="86"/>
      <c r="F50" s="86"/>
      <c r="G50" s="87"/>
      <c r="H50" s="51"/>
    </row>
    <row r="51" spans="1:8" ht="19.149999999999999" customHeight="1" x14ac:dyDescent="0.2">
      <c r="A51" s="60" t="s">
        <v>73</v>
      </c>
      <c r="B51" s="61"/>
      <c r="C51" s="61"/>
      <c r="D51" s="61"/>
      <c r="E51" s="61"/>
      <c r="F51" s="61"/>
      <c r="G51" s="61"/>
      <c r="H51" s="62"/>
    </row>
    <row r="52" spans="1:8" ht="17.45" customHeight="1" thickBot="1" x14ac:dyDescent="0.25">
      <c r="A52" s="91" t="s">
        <v>87</v>
      </c>
      <c r="B52" s="92"/>
      <c r="C52" s="92"/>
      <c r="D52" s="92"/>
      <c r="E52" s="92"/>
      <c r="F52" s="92"/>
      <c r="G52" s="92"/>
      <c r="H52" s="93"/>
    </row>
    <row r="53" spans="1:8" ht="14.1" customHeight="1" x14ac:dyDescent="0.2">
      <c r="A53" s="63" t="s">
        <v>74</v>
      </c>
      <c r="B53" s="63"/>
      <c r="C53" s="63"/>
      <c r="D53" s="63"/>
      <c r="E53" s="63"/>
      <c r="F53" s="63"/>
      <c r="G53" s="63"/>
      <c r="H53" s="63"/>
    </row>
    <row r="54" spans="1:8" ht="14.1" customHeight="1" x14ac:dyDescent="0.2">
      <c r="A54" s="94"/>
      <c r="B54" s="94"/>
      <c r="C54" s="94"/>
      <c r="D54" s="94"/>
      <c r="E54" s="94"/>
      <c r="F54" s="94"/>
      <c r="G54" s="94"/>
      <c r="H54" s="94"/>
    </row>
    <row r="55" spans="1:8" ht="14.1" customHeight="1" x14ac:dyDescent="0.2">
      <c r="A55" s="94" t="s">
        <v>76</v>
      </c>
      <c r="B55" s="94"/>
      <c r="C55" s="94"/>
      <c r="D55" s="94"/>
      <c r="E55" s="94"/>
      <c r="F55" s="94"/>
      <c r="G55" s="94"/>
      <c r="H55" s="94"/>
    </row>
    <row r="56" spans="1:8" ht="14.1" customHeight="1" x14ac:dyDescent="0.2">
      <c r="A56" s="94" t="s">
        <v>77</v>
      </c>
      <c r="B56" s="94"/>
      <c r="C56" s="94"/>
      <c r="D56" s="94"/>
      <c r="E56" s="94"/>
      <c r="F56" s="94"/>
      <c r="G56" s="94"/>
      <c r="H56" s="94"/>
    </row>
    <row r="57" spans="1:8" ht="14.1" customHeight="1" x14ac:dyDescent="0.2">
      <c r="A57" s="53" t="s">
        <v>78</v>
      </c>
      <c r="B57" s="66"/>
      <c r="C57" s="66"/>
      <c r="D57" s="66"/>
      <c r="E57" s="66"/>
      <c r="F57" s="66"/>
      <c r="G57" s="66"/>
      <c r="H57" s="52"/>
    </row>
    <row r="58" spans="1:8" ht="14.1" customHeight="1" x14ac:dyDescent="0.2">
      <c r="A58" s="53" t="s">
        <v>79</v>
      </c>
      <c r="B58" s="66"/>
      <c r="C58" s="66"/>
      <c r="D58" s="66"/>
      <c r="E58" s="66"/>
      <c r="F58" s="66"/>
      <c r="G58" s="66"/>
      <c r="H58" s="52"/>
    </row>
    <row r="59" spans="1:8" ht="14.1" customHeight="1" x14ac:dyDescent="0.2">
      <c r="A59" s="53" t="s">
        <v>80</v>
      </c>
      <c r="B59" s="66"/>
      <c r="C59" s="66"/>
      <c r="D59" s="66"/>
      <c r="E59" s="66"/>
      <c r="F59" s="66"/>
      <c r="G59" s="66"/>
      <c r="H59" s="52"/>
    </row>
    <row r="60" spans="1:8" ht="14.1" customHeight="1" x14ac:dyDescent="0.2">
      <c r="A60" s="94" t="s">
        <v>81</v>
      </c>
      <c r="B60" s="94"/>
      <c r="C60" s="94"/>
      <c r="D60" s="94"/>
      <c r="E60" s="94"/>
      <c r="F60" s="94"/>
      <c r="G60" s="94"/>
      <c r="H60" s="94"/>
    </row>
    <row r="61" spans="1:8" ht="14.1" customHeight="1" x14ac:dyDescent="0.2">
      <c r="A61" s="53" t="s">
        <v>78</v>
      </c>
      <c r="B61" s="66"/>
      <c r="C61" s="66"/>
      <c r="D61" s="66"/>
      <c r="E61" s="66"/>
      <c r="F61" s="66"/>
      <c r="G61" s="66"/>
      <c r="H61" s="52"/>
    </row>
    <row r="62" spans="1:8" ht="14.1" customHeight="1" x14ac:dyDescent="0.2">
      <c r="A62" s="53" t="s">
        <v>79</v>
      </c>
      <c r="B62" s="66"/>
      <c r="C62" s="66"/>
      <c r="D62" s="66"/>
      <c r="E62" s="66"/>
      <c r="F62" s="66"/>
      <c r="G62" s="66"/>
      <c r="H62" s="52"/>
    </row>
    <row r="63" spans="1:8" ht="14.1" customHeight="1" x14ac:dyDescent="0.2">
      <c r="A63" s="53" t="s">
        <v>80</v>
      </c>
      <c r="B63" s="66"/>
      <c r="C63" s="66"/>
      <c r="D63" s="66"/>
      <c r="E63" s="66"/>
      <c r="F63" s="66"/>
      <c r="G63" s="66"/>
      <c r="H63" s="52"/>
    </row>
    <row r="64" spans="1:8" ht="14.1" customHeight="1" x14ac:dyDescent="0.2">
      <c r="A64" s="94" t="s">
        <v>82</v>
      </c>
      <c r="B64" s="94"/>
      <c r="C64" s="94"/>
      <c r="D64" s="94"/>
      <c r="E64" s="94"/>
      <c r="F64" s="94"/>
      <c r="G64" s="94"/>
      <c r="H64" s="94"/>
    </row>
    <row r="65" spans="1:8" ht="14.1" customHeight="1" x14ac:dyDescent="0.2">
      <c r="A65" s="53" t="s">
        <v>78</v>
      </c>
      <c r="B65" s="66"/>
      <c r="C65" s="66"/>
      <c r="D65" s="66"/>
      <c r="E65" s="66"/>
      <c r="F65" s="66"/>
      <c r="G65" s="66"/>
      <c r="H65" s="52"/>
    </row>
    <row r="66" spans="1:8" ht="14.1" customHeight="1" x14ac:dyDescent="0.2">
      <c r="A66" s="53" t="s">
        <v>79</v>
      </c>
      <c r="B66" s="66"/>
      <c r="C66" s="66"/>
      <c r="D66" s="66"/>
      <c r="E66" s="66"/>
      <c r="F66" s="66"/>
      <c r="G66" s="66"/>
      <c r="H66" s="52"/>
    </row>
    <row r="67" spans="1:8" ht="14.1" customHeight="1" x14ac:dyDescent="0.2">
      <c r="A67" s="53" t="s">
        <v>80</v>
      </c>
      <c r="B67" s="66"/>
      <c r="C67" s="66"/>
      <c r="D67" s="66"/>
      <c r="E67" s="66"/>
      <c r="F67" s="66"/>
      <c r="G67" s="66"/>
      <c r="H67" s="52"/>
    </row>
    <row r="68" spans="1:8" ht="14.1" customHeight="1" x14ac:dyDescent="0.2">
      <c r="A68" s="94" t="s">
        <v>83</v>
      </c>
      <c r="B68" s="94"/>
      <c r="C68" s="94"/>
      <c r="D68" s="94"/>
      <c r="E68" s="94"/>
      <c r="F68" s="94"/>
      <c r="G68" s="94"/>
      <c r="H68" s="94"/>
    </row>
    <row r="69" spans="1:8" ht="14.1" customHeight="1" x14ac:dyDescent="0.2">
      <c r="A69" s="53" t="s">
        <v>78</v>
      </c>
      <c r="B69" s="66"/>
      <c r="C69" s="66"/>
      <c r="D69" s="66"/>
      <c r="E69" s="66"/>
      <c r="F69" s="66"/>
      <c r="G69" s="66"/>
      <c r="H69" s="52"/>
    </row>
    <row r="70" spans="1:8" x14ac:dyDescent="0.2">
      <c r="A70" s="53" t="s">
        <v>79</v>
      </c>
      <c r="B70" s="66"/>
      <c r="C70" s="66"/>
      <c r="D70" s="66"/>
      <c r="E70" s="66"/>
      <c r="F70" s="66"/>
      <c r="G70" s="66"/>
      <c r="H70" s="52"/>
    </row>
    <row r="71" spans="1:8" x14ac:dyDescent="0.2">
      <c r="A71" s="53" t="s">
        <v>80</v>
      </c>
      <c r="B71" s="66"/>
      <c r="C71" s="66"/>
      <c r="D71" s="66"/>
      <c r="E71" s="66"/>
      <c r="F71" s="66"/>
      <c r="G71" s="66"/>
      <c r="H71" s="52"/>
    </row>
    <row r="72" spans="1:8" x14ac:dyDescent="0.2">
      <c r="A72" s="64"/>
      <c r="B72" s="64"/>
      <c r="C72" s="64"/>
      <c r="D72" s="64"/>
      <c r="E72" s="64"/>
      <c r="F72" s="64"/>
      <c r="G72" s="64"/>
      <c r="H72" s="64"/>
    </row>
    <row r="73" spans="1:8" x14ac:dyDescent="0.2">
      <c r="A73" s="64"/>
      <c r="B73" s="64"/>
      <c r="C73" s="64"/>
      <c r="D73" s="64"/>
      <c r="E73" s="64"/>
      <c r="F73" s="64"/>
      <c r="G73" s="64"/>
      <c r="H73" s="64"/>
    </row>
    <row r="74" spans="1:8" x14ac:dyDescent="0.2">
      <c r="A74" s="54" t="s">
        <v>6</v>
      </c>
      <c r="B74" s="54"/>
      <c r="C74" s="54"/>
      <c r="D74" s="54"/>
      <c r="E74" s="54"/>
      <c r="F74" s="54"/>
      <c r="G74" s="54"/>
      <c r="H74" s="54"/>
    </row>
    <row r="75" spans="1:8" x14ac:dyDescent="0.2">
      <c r="A75" s="55" t="s">
        <v>70</v>
      </c>
      <c r="B75" s="55"/>
      <c r="C75" s="55"/>
      <c r="D75" s="55"/>
      <c r="E75" s="55"/>
      <c r="F75" s="55"/>
      <c r="G75" s="55"/>
      <c r="H75" s="55"/>
    </row>
    <row r="76" spans="1:8" x14ac:dyDescent="0.2">
      <c r="A76" s="55" t="s">
        <v>84</v>
      </c>
      <c r="B76" s="55"/>
      <c r="C76" s="55"/>
      <c r="D76" s="55"/>
      <c r="E76" s="55"/>
      <c r="F76" s="55"/>
      <c r="G76" s="55"/>
      <c r="H76" s="55"/>
    </row>
    <row r="77" spans="1:8" x14ac:dyDescent="0.2">
      <c r="A77" s="55" t="s">
        <v>85</v>
      </c>
      <c r="B77" s="55"/>
      <c r="C77" s="55"/>
      <c r="D77" s="55"/>
      <c r="E77" s="55"/>
      <c r="F77" s="55"/>
      <c r="G77" s="55"/>
      <c r="H77" s="55"/>
    </row>
  </sheetData>
  <sheetProtection algorithmName="SHA-512" hashValue="djxfY8XxeWiNuICJby4CKxfe8nyloJSpSUPUWBXBqpKZeUsLc9SF2/LIBNl+rZveYXDWgDlYLwrx2sDaHbdwOA==" saltValue="6ihcUaGUPJ+j83YnYroyXQ==" spinCount="100000" sheet="1" selectLockedCells="1"/>
  <mergeCells count="74">
    <mergeCell ref="A68:H68"/>
    <mergeCell ref="B69:G69"/>
    <mergeCell ref="B70:G70"/>
    <mergeCell ref="B71:G71"/>
    <mergeCell ref="A72:H72"/>
    <mergeCell ref="B63:G63"/>
    <mergeCell ref="A64:H64"/>
    <mergeCell ref="B65:G65"/>
    <mergeCell ref="B66:G66"/>
    <mergeCell ref="B67:G67"/>
    <mergeCell ref="B58:G58"/>
    <mergeCell ref="B59:G59"/>
    <mergeCell ref="A60:H60"/>
    <mergeCell ref="B61:G61"/>
    <mergeCell ref="B62:G62"/>
    <mergeCell ref="A52:H52"/>
    <mergeCell ref="A54:H54"/>
    <mergeCell ref="A55:H55"/>
    <mergeCell ref="A56:H56"/>
    <mergeCell ref="B57:G57"/>
    <mergeCell ref="B21:C21"/>
    <mergeCell ref="B22:C22"/>
    <mergeCell ref="B24:C24"/>
    <mergeCell ref="B25:C25"/>
    <mergeCell ref="A35:G35"/>
    <mergeCell ref="B44:G44"/>
    <mergeCell ref="B45:G45"/>
    <mergeCell ref="B49:G50"/>
    <mergeCell ref="A49:A50"/>
    <mergeCell ref="B46:G46"/>
    <mergeCell ref="B47:G47"/>
    <mergeCell ref="B48:G48"/>
    <mergeCell ref="B41:G41"/>
    <mergeCell ref="B42:G42"/>
    <mergeCell ref="B38:G38"/>
    <mergeCell ref="B39:G39"/>
    <mergeCell ref="B43:G43"/>
    <mergeCell ref="A1:H1"/>
    <mergeCell ref="A3:H3"/>
    <mergeCell ref="A4:H4"/>
    <mergeCell ref="A2:H2"/>
    <mergeCell ref="B40:G40"/>
    <mergeCell ref="A37:H37"/>
    <mergeCell ref="B20:C20"/>
    <mergeCell ref="B33:C33"/>
    <mergeCell ref="B34:C34"/>
    <mergeCell ref="A5:H5"/>
    <mergeCell ref="A15:H15"/>
    <mergeCell ref="B29:C29"/>
    <mergeCell ref="B30:C30"/>
    <mergeCell ref="B31:C31"/>
    <mergeCell ref="B32:C32"/>
    <mergeCell ref="B16:E16"/>
    <mergeCell ref="B9:G9"/>
    <mergeCell ref="B10:G10"/>
    <mergeCell ref="B11:G11"/>
    <mergeCell ref="B8:G8"/>
    <mergeCell ref="B7:G7"/>
    <mergeCell ref="A74:H74"/>
    <mergeCell ref="A75:H75"/>
    <mergeCell ref="A76:H76"/>
    <mergeCell ref="A77:H77"/>
    <mergeCell ref="A6:H6"/>
    <mergeCell ref="A36:H36"/>
    <mergeCell ref="A51:H51"/>
    <mergeCell ref="A53:H53"/>
    <mergeCell ref="A73:H73"/>
    <mergeCell ref="B26:C26"/>
    <mergeCell ref="B27:C27"/>
    <mergeCell ref="B28:C28"/>
    <mergeCell ref="B12:G12"/>
    <mergeCell ref="B13:G13"/>
    <mergeCell ref="B23:C23"/>
    <mergeCell ref="A14:H14"/>
  </mergeCells>
  <pageMargins left="0.5" right="0.25" top="0.25" bottom="0.2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Sheet1!$A$2:$A$15</xm:f>
          </x14:formula1>
          <xm:sqref>B16:E16</xm:sqref>
        </x14:dataValidation>
        <x14:dataValidation type="list" allowBlank="1" showInputMessage="1" showErrorMessage="1" xr:uid="{00000000-0002-0000-0000-000001000000}">
          <x14:formula1>
            <xm:f>Sheet1!$A$21:$A$22</xm:f>
          </x14:formula1>
          <xm:sqref>D21:D33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2"/>
  <sheetViews>
    <sheetView workbookViewId="0"/>
  </sheetViews>
  <sheetFormatPr defaultRowHeight="15" x14ac:dyDescent="0.25"/>
  <cols>
    <col min="1" max="1" width="22.85546875" customWidth="1"/>
    <col min="2" max="2" width="10.85546875" bestFit="1" customWidth="1"/>
  </cols>
  <sheetData>
    <row r="1" spans="1:18" ht="96.75" customHeight="1" thickBot="1" x14ac:dyDescent="0.3">
      <c r="A1" s="6" t="s">
        <v>31</v>
      </c>
      <c r="B1" s="6" t="s">
        <v>48</v>
      </c>
      <c r="C1" s="6" t="s">
        <v>49</v>
      </c>
      <c r="D1" s="6" t="s">
        <v>19</v>
      </c>
      <c r="E1" s="6" t="s">
        <v>50</v>
      </c>
      <c r="F1" s="6" t="s">
        <v>51</v>
      </c>
      <c r="G1" s="6" t="s">
        <v>68</v>
      </c>
      <c r="H1" s="6" t="s">
        <v>52</v>
      </c>
      <c r="I1" s="6" t="s">
        <v>53</v>
      </c>
      <c r="J1" s="6" t="s">
        <v>54</v>
      </c>
      <c r="K1" s="6" t="s">
        <v>55</v>
      </c>
      <c r="L1" s="6" t="s">
        <v>56</v>
      </c>
      <c r="M1" s="6" t="s">
        <v>54</v>
      </c>
      <c r="N1" s="6" t="s">
        <v>3</v>
      </c>
      <c r="O1" s="6" t="s">
        <v>53</v>
      </c>
      <c r="P1" s="6" t="s">
        <v>57</v>
      </c>
      <c r="Q1" s="6" t="s">
        <v>4</v>
      </c>
      <c r="R1" s="6" t="s">
        <v>5</v>
      </c>
    </row>
    <row r="2" spans="1:18" ht="16.5" thickBot="1" x14ac:dyDescent="0.3">
      <c r="A2" s="3" t="s">
        <v>33</v>
      </c>
      <c r="B2" s="1">
        <f>43.61*12</f>
        <v>523.31999999999994</v>
      </c>
      <c r="C2" s="2">
        <v>5.4999999999999997E-3</v>
      </c>
      <c r="D2" s="2">
        <v>4.2500000000000003E-2</v>
      </c>
      <c r="E2" s="7">
        <f t="shared" ref="E2:F6" si="0">7.49*12</f>
        <v>89.88</v>
      </c>
      <c r="F2" s="7">
        <f t="shared" si="0"/>
        <v>89.88</v>
      </c>
      <c r="G2" s="7">
        <v>195.36</v>
      </c>
      <c r="H2" s="8">
        <f t="shared" ref="H2:H7" si="1">10.56*12</f>
        <v>126.72</v>
      </c>
      <c r="I2" s="7">
        <f t="shared" ref="I2:I7" si="2">3.28*12</f>
        <v>39.36</v>
      </c>
      <c r="J2" s="5">
        <f t="shared" ref="J2:J7" si="3">7.72*12</f>
        <v>92.64</v>
      </c>
      <c r="K2" s="8">
        <f t="shared" ref="K2:K7" si="4">18.42*12</f>
        <v>221.04000000000002</v>
      </c>
      <c r="L2" s="7">
        <f t="shared" ref="L2:L7" si="5">5.27*12</f>
        <v>63.239999999999995</v>
      </c>
      <c r="M2" s="5">
        <f t="shared" ref="M2:M7" si="6">11.91*12</f>
        <v>142.92000000000002</v>
      </c>
      <c r="N2" s="8">
        <f>9.75*12</f>
        <v>117</v>
      </c>
      <c r="O2" s="7">
        <f>3.28*12</f>
        <v>39.36</v>
      </c>
      <c r="P2" s="8">
        <f t="shared" ref="P2:P8" si="7">3.78*12</f>
        <v>45.36</v>
      </c>
      <c r="Q2" s="7">
        <f t="shared" ref="Q2:Q7" si="8">3.31*12</f>
        <v>39.72</v>
      </c>
      <c r="R2" s="5">
        <f t="shared" ref="R2:R7" si="9">4.2*12</f>
        <v>50.400000000000006</v>
      </c>
    </row>
    <row r="3" spans="1:18" ht="16.5" thickBot="1" x14ac:dyDescent="0.3">
      <c r="A3" s="3" t="s">
        <v>34</v>
      </c>
      <c r="B3" s="1">
        <f>49.61*12</f>
        <v>595.31999999999994</v>
      </c>
      <c r="C3" s="2">
        <v>5.0000000000000001E-3</v>
      </c>
      <c r="D3" s="2">
        <v>3.95E-2</v>
      </c>
      <c r="E3" s="7">
        <f t="shared" si="0"/>
        <v>89.88</v>
      </c>
      <c r="F3" s="7">
        <f t="shared" si="0"/>
        <v>89.88</v>
      </c>
      <c r="G3" s="7">
        <v>195.36</v>
      </c>
      <c r="H3" s="8">
        <f t="shared" si="1"/>
        <v>126.72</v>
      </c>
      <c r="I3" s="7">
        <f t="shared" si="2"/>
        <v>39.36</v>
      </c>
      <c r="J3" s="5">
        <f t="shared" si="3"/>
        <v>92.64</v>
      </c>
      <c r="K3" s="8">
        <f t="shared" si="4"/>
        <v>221.04000000000002</v>
      </c>
      <c r="L3" s="7">
        <f t="shared" si="5"/>
        <v>63.239999999999995</v>
      </c>
      <c r="M3" s="5">
        <f t="shared" si="6"/>
        <v>142.92000000000002</v>
      </c>
      <c r="N3" s="8">
        <f>9.75*12</f>
        <v>117</v>
      </c>
      <c r="O3" s="7">
        <f>3.28*12</f>
        <v>39.36</v>
      </c>
      <c r="P3" s="8">
        <f>6.78*12</f>
        <v>81.36</v>
      </c>
      <c r="Q3" s="7">
        <f t="shared" si="8"/>
        <v>39.72</v>
      </c>
      <c r="R3" s="5">
        <f t="shared" si="9"/>
        <v>50.400000000000006</v>
      </c>
    </row>
    <row r="4" spans="1:18" ht="16.5" thickBot="1" x14ac:dyDescent="0.3">
      <c r="A4" s="3" t="s">
        <v>35</v>
      </c>
      <c r="B4" s="1">
        <f>58.46*12</f>
        <v>701.52</v>
      </c>
      <c r="C4" s="2">
        <v>5.0000000000000001E-3</v>
      </c>
      <c r="D4" s="2">
        <v>3.95E-2</v>
      </c>
      <c r="E4" s="7">
        <f t="shared" si="0"/>
        <v>89.88</v>
      </c>
      <c r="F4" s="7">
        <f t="shared" si="0"/>
        <v>89.88</v>
      </c>
      <c r="G4" s="7">
        <v>195.36</v>
      </c>
      <c r="H4" s="8">
        <f t="shared" si="1"/>
        <v>126.72</v>
      </c>
      <c r="I4" s="7">
        <f t="shared" si="2"/>
        <v>39.36</v>
      </c>
      <c r="J4" s="5">
        <f t="shared" si="3"/>
        <v>92.64</v>
      </c>
      <c r="K4" s="8">
        <f t="shared" si="4"/>
        <v>221.04000000000002</v>
      </c>
      <c r="L4" s="7">
        <f t="shared" si="5"/>
        <v>63.239999999999995</v>
      </c>
      <c r="M4" s="5">
        <f t="shared" si="6"/>
        <v>142.92000000000002</v>
      </c>
      <c r="N4" s="8">
        <f>9.75*12</f>
        <v>117</v>
      </c>
      <c r="O4" s="7">
        <f>3.28*12</f>
        <v>39.36</v>
      </c>
      <c r="P4" s="8">
        <f t="shared" ref="P4:P14" si="10">6.78*12</f>
        <v>81.36</v>
      </c>
      <c r="Q4" s="7">
        <f t="shared" si="8"/>
        <v>39.72</v>
      </c>
      <c r="R4" s="5">
        <f t="shared" si="9"/>
        <v>50.400000000000006</v>
      </c>
    </row>
    <row r="5" spans="1:18" ht="16.5" thickBot="1" x14ac:dyDescent="0.3">
      <c r="A5" s="3" t="s">
        <v>36</v>
      </c>
      <c r="B5" s="1">
        <f>62.39*12</f>
        <v>748.68000000000006</v>
      </c>
      <c r="C5" s="2">
        <v>5.0000000000000001E-3</v>
      </c>
      <c r="D5" s="2">
        <v>3.95E-2</v>
      </c>
      <c r="E5" s="7">
        <f t="shared" si="0"/>
        <v>89.88</v>
      </c>
      <c r="F5" s="7">
        <f t="shared" si="0"/>
        <v>89.88</v>
      </c>
      <c r="G5" s="7">
        <v>195.36</v>
      </c>
      <c r="H5" s="8">
        <f t="shared" si="1"/>
        <v>126.72</v>
      </c>
      <c r="I5" s="7">
        <f t="shared" si="2"/>
        <v>39.36</v>
      </c>
      <c r="J5" s="5">
        <f t="shared" si="3"/>
        <v>92.64</v>
      </c>
      <c r="K5" s="8">
        <f t="shared" si="4"/>
        <v>221.04000000000002</v>
      </c>
      <c r="L5" s="7">
        <f t="shared" si="5"/>
        <v>63.239999999999995</v>
      </c>
      <c r="M5" s="5">
        <f t="shared" si="6"/>
        <v>142.92000000000002</v>
      </c>
      <c r="N5" s="8">
        <f>9.75*12</f>
        <v>117</v>
      </c>
      <c r="O5" s="7">
        <f>3.28*12</f>
        <v>39.36</v>
      </c>
      <c r="P5" s="8">
        <f t="shared" si="10"/>
        <v>81.36</v>
      </c>
      <c r="Q5" s="7">
        <f t="shared" si="8"/>
        <v>39.72</v>
      </c>
      <c r="R5" s="5">
        <f t="shared" si="9"/>
        <v>50.400000000000006</v>
      </c>
    </row>
    <row r="6" spans="1:18" ht="16.5" thickBot="1" x14ac:dyDescent="0.3">
      <c r="A6" s="3" t="s">
        <v>37</v>
      </c>
      <c r="B6" s="1">
        <f>74.24*12</f>
        <v>890.87999999999988</v>
      </c>
      <c r="C6" s="2">
        <v>5.0000000000000001E-3</v>
      </c>
      <c r="D6" s="2">
        <v>3.95E-2</v>
      </c>
      <c r="E6" s="7">
        <f t="shared" si="0"/>
        <v>89.88</v>
      </c>
      <c r="F6" s="7">
        <f t="shared" si="0"/>
        <v>89.88</v>
      </c>
      <c r="G6" s="7">
        <v>195.36</v>
      </c>
      <c r="H6" s="8">
        <f t="shared" si="1"/>
        <v>126.72</v>
      </c>
      <c r="I6" s="7">
        <f t="shared" si="2"/>
        <v>39.36</v>
      </c>
      <c r="J6" s="5">
        <f t="shared" si="3"/>
        <v>92.64</v>
      </c>
      <c r="K6" s="8">
        <f t="shared" si="4"/>
        <v>221.04000000000002</v>
      </c>
      <c r="L6" s="7">
        <f t="shared" si="5"/>
        <v>63.239999999999995</v>
      </c>
      <c r="M6" s="5">
        <f t="shared" si="6"/>
        <v>142.92000000000002</v>
      </c>
      <c r="N6" s="8">
        <f>9.75*12</f>
        <v>117</v>
      </c>
      <c r="O6" s="7">
        <f>3.28*12</f>
        <v>39.36</v>
      </c>
      <c r="P6" s="8">
        <f t="shared" si="10"/>
        <v>81.36</v>
      </c>
      <c r="Q6" s="7">
        <f t="shared" si="8"/>
        <v>39.72</v>
      </c>
      <c r="R6" s="5">
        <f t="shared" si="9"/>
        <v>50.400000000000006</v>
      </c>
    </row>
    <row r="7" spans="1:18" ht="16.5" thickBot="1" x14ac:dyDescent="0.3">
      <c r="A7" s="3" t="s">
        <v>38</v>
      </c>
      <c r="B7" s="1">
        <f>89.73*12</f>
        <v>1076.76</v>
      </c>
      <c r="C7" s="2">
        <v>5.0000000000000001E-3</v>
      </c>
      <c r="D7" s="2">
        <v>3.95E-2</v>
      </c>
      <c r="E7" s="7">
        <v>89.88</v>
      </c>
      <c r="F7" s="7">
        <f>7.49*12</f>
        <v>89.88</v>
      </c>
      <c r="G7" s="7">
        <v>195.36</v>
      </c>
      <c r="H7" s="8">
        <f t="shared" si="1"/>
        <v>126.72</v>
      </c>
      <c r="I7" s="7">
        <f t="shared" si="2"/>
        <v>39.36</v>
      </c>
      <c r="J7" s="5">
        <f t="shared" si="3"/>
        <v>92.64</v>
      </c>
      <c r="K7" s="8">
        <f t="shared" si="4"/>
        <v>221.04000000000002</v>
      </c>
      <c r="L7" s="7">
        <f t="shared" si="5"/>
        <v>63.239999999999995</v>
      </c>
      <c r="M7" s="5">
        <f t="shared" si="6"/>
        <v>142.92000000000002</v>
      </c>
      <c r="N7" s="8" t="s">
        <v>47</v>
      </c>
      <c r="O7" s="7" t="s">
        <v>47</v>
      </c>
      <c r="P7" s="8">
        <f t="shared" si="10"/>
        <v>81.36</v>
      </c>
      <c r="Q7" s="7">
        <f t="shared" si="8"/>
        <v>39.72</v>
      </c>
      <c r="R7" s="5">
        <f t="shared" si="9"/>
        <v>50.400000000000006</v>
      </c>
    </row>
    <row r="8" spans="1:18" ht="16.5" thickBot="1" x14ac:dyDescent="0.3">
      <c r="A8" s="3" t="s">
        <v>39</v>
      </c>
      <c r="B8" s="1">
        <f>19.55*12</f>
        <v>234.60000000000002</v>
      </c>
      <c r="C8" s="2">
        <v>1.6E-2</v>
      </c>
      <c r="E8" s="8">
        <f>3.15*12</f>
        <v>37.799999999999997</v>
      </c>
      <c r="F8" s="7" t="s">
        <v>47</v>
      </c>
      <c r="G8" s="7" t="s">
        <v>47</v>
      </c>
      <c r="H8" s="7" t="s">
        <v>47</v>
      </c>
      <c r="I8" s="7" t="s">
        <v>47</v>
      </c>
      <c r="J8" s="5" t="s">
        <v>47</v>
      </c>
      <c r="K8" s="7" t="s">
        <v>47</v>
      </c>
      <c r="L8" s="7" t="s">
        <v>47</v>
      </c>
      <c r="M8" s="5" t="s">
        <v>47</v>
      </c>
      <c r="N8" s="7">
        <f>4.75*12</f>
        <v>57</v>
      </c>
      <c r="O8" s="7" t="s">
        <v>47</v>
      </c>
      <c r="P8" s="8">
        <f t="shared" si="7"/>
        <v>45.36</v>
      </c>
      <c r="Q8" s="7" t="s">
        <v>47</v>
      </c>
      <c r="R8" s="7" t="s">
        <v>47</v>
      </c>
    </row>
    <row r="9" spans="1:18" ht="16.5" thickBot="1" x14ac:dyDescent="0.3">
      <c r="A9" s="4" t="s">
        <v>40</v>
      </c>
      <c r="B9" s="1">
        <f>39.91*12</f>
        <v>478.91999999999996</v>
      </c>
      <c r="C9" s="2">
        <v>5.0000000000000001E-3</v>
      </c>
      <c r="E9" s="8">
        <f t="shared" ref="E9:F12" si="11">7.49*12</f>
        <v>89.88</v>
      </c>
      <c r="F9" s="8">
        <f t="shared" si="11"/>
        <v>89.88</v>
      </c>
      <c r="G9" s="7">
        <v>195.36</v>
      </c>
      <c r="H9" s="7">
        <f t="shared" ref="H9:H14" si="12">10.56*12</f>
        <v>126.72</v>
      </c>
      <c r="I9" s="7">
        <f t="shared" ref="I9:I14" si="13">3.28*12</f>
        <v>39.36</v>
      </c>
      <c r="J9" s="7">
        <f t="shared" ref="J9:J14" si="14">7.72*12</f>
        <v>92.64</v>
      </c>
      <c r="K9" s="8">
        <f t="shared" ref="K9:K14" si="15">18.42*12</f>
        <v>221.04000000000002</v>
      </c>
      <c r="L9" s="7">
        <f t="shared" ref="L9:L15" si="16">5.27*12</f>
        <v>63.239999999999995</v>
      </c>
      <c r="M9" s="5">
        <f t="shared" ref="M9:M15" si="17">11.91*12</f>
        <v>142.92000000000002</v>
      </c>
      <c r="N9" s="7">
        <f>9.75*12</f>
        <v>117</v>
      </c>
      <c r="O9" s="7">
        <f>3.28*12</f>
        <v>39.36</v>
      </c>
      <c r="P9" s="8">
        <f t="shared" si="10"/>
        <v>81.36</v>
      </c>
      <c r="Q9" s="7">
        <f t="shared" ref="Q9:Q14" si="18">3.31*12</f>
        <v>39.72</v>
      </c>
      <c r="R9" s="7">
        <f t="shared" ref="R9:R14" si="19">4.2*12</f>
        <v>50.400000000000006</v>
      </c>
    </row>
    <row r="10" spans="1:18" ht="16.5" thickBot="1" x14ac:dyDescent="0.3">
      <c r="A10" s="4" t="s">
        <v>41</v>
      </c>
      <c r="B10" s="1">
        <f>42.45*12</f>
        <v>509.40000000000003</v>
      </c>
      <c r="C10" s="2">
        <v>5.0000000000000001E-3</v>
      </c>
      <c r="E10" s="8">
        <f t="shared" si="11"/>
        <v>89.88</v>
      </c>
      <c r="F10" s="8">
        <f t="shared" si="11"/>
        <v>89.88</v>
      </c>
      <c r="G10" s="7">
        <v>195.36</v>
      </c>
      <c r="H10" s="7">
        <f t="shared" si="12"/>
        <v>126.72</v>
      </c>
      <c r="I10" s="7">
        <f t="shared" si="13"/>
        <v>39.36</v>
      </c>
      <c r="J10" s="7">
        <f t="shared" si="14"/>
        <v>92.64</v>
      </c>
      <c r="K10" s="8">
        <f t="shared" si="15"/>
        <v>221.04000000000002</v>
      </c>
      <c r="L10" s="7">
        <f t="shared" si="16"/>
        <v>63.239999999999995</v>
      </c>
      <c r="M10" s="5">
        <f t="shared" si="17"/>
        <v>142.92000000000002</v>
      </c>
      <c r="N10" s="7">
        <f>9.75*12</f>
        <v>117</v>
      </c>
      <c r="O10" s="7">
        <f>3.28*12</f>
        <v>39.36</v>
      </c>
      <c r="P10" s="8">
        <f t="shared" si="10"/>
        <v>81.36</v>
      </c>
      <c r="Q10" s="7">
        <f t="shared" si="18"/>
        <v>39.72</v>
      </c>
      <c r="R10" s="7">
        <f t="shared" si="19"/>
        <v>50.400000000000006</v>
      </c>
    </row>
    <row r="11" spans="1:18" ht="16.5" thickBot="1" x14ac:dyDescent="0.3">
      <c r="A11" s="3" t="s">
        <v>42</v>
      </c>
      <c r="B11" s="1">
        <f>48.14*12</f>
        <v>577.68000000000006</v>
      </c>
      <c r="C11" s="2">
        <v>4.4999999999999997E-3</v>
      </c>
      <c r="E11" s="8">
        <f t="shared" si="11"/>
        <v>89.88</v>
      </c>
      <c r="F11" s="8">
        <f t="shared" si="11"/>
        <v>89.88</v>
      </c>
      <c r="G11" s="7">
        <v>195.36</v>
      </c>
      <c r="H11" s="7">
        <f t="shared" si="12"/>
        <v>126.72</v>
      </c>
      <c r="I11" s="7">
        <f t="shared" si="13"/>
        <v>39.36</v>
      </c>
      <c r="J11" s="7">
        <f t="shared" si="14"/>
        <v>92.64</v>
      </c>
      <c r="K11" s="8">
        <f t="shared" si="15"/>
        <v>221.04000000000002</v>
      </c>
      <c r="L11" s="7">
        <f t="shared" si="16"/>
        <v>63.239999999999995</v>
      </c>
      <c r="M11" s="5">
        <f t="shared" si="17"/>
        <v>142.92000000000002</v>
      </c>
      <c r="N11" s="7">
        <f>9.75*12</f>
        <v>117</v>
      </c>
      <c r="O11" s="7">
        <f>3.28*12</f>
        <v>39.36</v>
      </c>
      <c r="P11" s="8">
        <f t="shared" si="10"/>
        <v>81.36</v>
      </c>
      <c r="Q11" s="7">
        <f t="shared" si="18"/>
        <v>39.72</v>
      </c>
      <c r="R11" s="7">
        <f t="shared" si="19"/>
        <v>50.400000000000006</v>
      </c>
    </row>
    <row r="12" spans="1:18" ht="16.5" thickBot="1" x14ac:dyDescent="0.3">
      <c r="A12" s="3" t="s">
        <v>43</v>
      </c>
      <c r="B12" s="1">
        <f>67.92*12</f>
        <v>815.04</v>
      </c>
      <c r="C12" s="2">
        <v>4.4999999999999997E-3</v>
      </c>
      <c r="E12" s="8">
        <f t="shared" si="11"/>
        <v>89.88</v>
      </c>
      <c r="F12" s="8">
        <f t="shared" si="11"/>
        <v>89.88</v>
      </c>
      <c r="G12" s="7">
        <v>195.36</v>
      </c>
      <c r="H12" s="7">
        <f t="shared" si="12"/>
        <v>126.72</v>
      </c>
      <c r="I12" s="7">
        <f t="shared" si="13"/>
        <v>39.36</v>
      </c>
      <c r="J12" s="7">
        <f t="shared" si="14"/>
        <v>92.64</v>
      </c>
      <c r="K12" s="8">
        <f t="shared" si="15"/>
        <v>221.04000000000002</v>
      </c>
      <c r="L12" s="7">
        <f t="shared" si="16"/>
        <v>63.239999999999995</v>
      </c>
      <c r="M12" s="5">
        <f t="shared" si="17"/>
        <v>142.92000000000002</v>
      </c>
      <c r="N12" s="7">
        <f>9.75*12</f>
        <v>117</v>
      </c>
      <c r="O12" s="7">
        <f>3.28*12</f>
        <v>39.36</v>
      </c>
      <c r="P12" s="8">
        <f t="shared" si="10"/>
        <v>81.36</v>
      </c>
      <c r="Q12" s="7">
        <f t="shared" si="18"/>
        <v>39.72</v>
      </c>
      <c r="R12" s="7">
        <f t="shared" si="19"/>
        <v>50.400000000000006</v>
      </c>
    </row>
    <row r="13" spans="1:18" ht="16.5" thickBot="1" x14ac:dyDescent="0.3">
      <c r="A13" s="3" t="s">
        <v>44</v>
      </c>
      <c r="B13" s="1">
        <f>110.59*12</f>
        <v>1327.08</v>
      </c>
      <c r="C13" s="2">
        <v>4.2500000000000003E-3</v>
      </c>
      <c r="E13" s="8" t="s">
        <v>47</v>
      </c>
      <c r="F13" s="7" t="s">
        <v>58</v>
      </c>
      <c r="G13" s="7">
        <v>195.36</v>
      </c>
      <c r="H13" s="7">
        <f t="shared" si="12"/>
        <v>126.72</v>
      </c>
      <c r="I13" s="7">
        <f t="shared" si="13"/>
        <v>39.36</v>
      </c>
      <c r="J13" s="7">
        <f t="shared" si="14"/>
        <v>92.64</v>
      </c>
      <c r="K13" s="8">
        <f t="shared" si="15"/>
        <v>221.04000000000002</v>
      </c>
      <c r="L13" s="7">
        <f t="shared" si="16"/>
        <v>63.239999999999995</v>
      </c>
      <c r="M13" s="5">
        <f t="shared" si="17"/>
        <v>142.92000000000002</v>
      </c>
      <c r="N13" s="7" t="s">
        <v>47</v>
      </c>
      <c r="O13" s="7" t="s">
        <v>47</v>
      </c>
      <c r="P13" s="8">
        <f t="shared" si="10"/>
        <v>81.36</v>
      </c>
      <c r="Q13" s="7">
        <f t="shared" si="18"/>
        <v>39.72</v>
      </c>
      <c r="R13" s="7">
        <f t="shared" si="19"/>
        <v>50.400000000000006</v>
      </c>
    </row>
    <row r="14" spans="1:18" ht="16.5" thickBot="1" x14ac:dyDescent="0.3">
      <c r="A14" s="3" t="s">
        <v>45</v>
      </c>
      <c r="B14" s="1">
        <f>130.38*12</f>
        <v>1564.56</v>
      </c>
      <c r="C14" s="2">
        <v>4.2500000000000003E-3</v>
      </c>
      <c r="E14" s="8" t="s">
        <v>47</v>
      </c>
      <c r="F14" s="7" t="s">
        <v>58</v>
      </c>
      <c r="G14" s="7">
        <v>195.36</v>
      </c>
      <c r="H14" s="7">
        <f t="shared" si="12"/>
        <v>126.72</v>
      </c>
      <c r="I14" s="7">
        <f t="shared" si="13"/>
        <v>39.36</v>
      </c>
      <c r="J14" s="7">
        <f t="shared" si="14"/>
        <v>92.64</v>
      </c>
      <c r="K14" s="8">
        <f t="shared" si="15"/>
        <v>221.04000000000002</v>
      </c>
      <c r="L14" s="7">
        <f t="shared" si="16"/>
        <v>63.239999999999995</v>
      </c>
      <c r="M14" s="5">
        <f t="shared" si="17"/>
        <v>142.92000000000002</v>
      </c>
      <c r="N14" s="7" t="s">
        <v>47</v>
      </c>
      <c r="O14" s="7" t="s">
        <v>47</v>
      </c>
      <c r="P14" s="8">
        <f t="shared" si="10"/>
        <v>81.36</v>
      </c>
      <c r="Q14" s="7">
        <f t="shared" si="18"/>
        <v>39.72</v>
      </c>
      <c r="R14" s="7">
        <f t="shared" si="19"/>
        <v>50.400000000000006</v>
      </c>
    </row>
    <row r="15" spans="1:18" ht="16.5" thickBot="1" x14ac:dyDescent="0.3">
      <c r="A15" s="3" t="s">
        <v>46</v>
      </c>
      <c r="B15" s="1">
        <f>205.48*12</f>
        <v>2465.7599999999998</v>
      </c>
      <c r="C15" s="2">
        <v>4.0000000000000001E-3</v>
      </c>
      <c r="E15" s="8" t="s">
        <v>47</v>
      </c>
      <c r="F15" s="7" t="s">
        <v>47</v>
      </c>
      <c r="G15" s="7">
        <v>152.28</v>
      </c>
      <c r="H15" s="7" t="s">
        <v>47</v>
      </c>
      <c r="I15" s="7" t="s">
        <v>47</v>
      </c>
      <c r="J15" s="7" t="s">
        <v>47</v>
      </c>
      <c r="K15" s="8">
        <f>33.66*12</f>
        <v>403.91999999999996</v>
      </c>
      <c r="L15" s="7">
        <f t="shared" si="16"/>
        <v>63.239999999999995</v>
      </c>
      <c r="M15" s="5">
        <f t="shared" si="17"/>
        <v>142.92000000000002</v>
      </c>
      <c r="N15" s="7" t="s">
        <v>47</v>
      </c>
      <c r="O15" s="7" t="s">
        <v>47</v>
      </c>
      <c r="P15" s="8" t="s">
        <v>47</v>
      </c>
      <c r="Q15" s="7" t="s">
        <v>47</v>
      </c>
      <c r="R15" s="7" t="s">
        <v>47</v>
      </c>
    </row>
    <row r="21" spans="1:1" x14ac:dyDescent="0.25">
      <c r="A21" t="s">
        <v>61</v>
      </c>
    </row>
    <row r="22" spans="1:1" x14ac:dyDescent="0.25">
      <c r="A22" t="s">
        <v>62</v>
      </c>
    </row>
  </sheetData>
  <sheetProtection algorithmName="SHA-512" hashValue="sieZBoZ9XbaQmUaOD3MrxCiFkBmLcH9HE4zoHChQ0fi/QMMSMBE3xllkcvXduDCbK8VLMmghxdLCCDrm9PM2Qw==" saltValue="1ku6E7TK3qw6UfPE4sldRw==" spinCount="100000" sheet="1" objects="1" scenarios="1" selectLockedCells="1" selectUnlockedCell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UDP MFD Order Form</vt:lpstr>
      <vt:lpstr>Sheet1</vt:lpstr>
    </vt:vector>
  </TitlesOfParts>
  <Company>Fort Hays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2017-09-20T21:53:52Z</cp:lastPrinted>
  <dcterms:created xsi:type="dcterms:W3CDTF">2017-09-11T17:14:49Z</dcterms:created>
  <dcterms:modified xsi:type="dcterms:W3CDTF">2021-05-24T12:53:55Z</dcterms:modified>
</cp:coreProperties>
</file>